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artina\Desktop\Allevamento\"/>
    </mc:Choice>
  </mc:AlternateContent>
  <xr:revisionPtr revIDLastSave="0" documentId="13_ncr:1_{204CC071-B895-43C9-A698-8124191BE077}" xr6:coauthVersionLast="47" xr6:coauthVersionMax="47" xr10:uidLastSave="{00000000-0000-0000-0000-000000000000}"/>
  <bookViews>
    <workbookView minimized="1" xWindow="2295" yWindow="2295" windowWidth="16200" windowHeight="9360" xr2:uid="{00000000-000D-0000-FFFF-FFFF00000000}"/>
  </bookViews>
  <sheets>
    <sheet name="p.iva" sheetId="1" r:id="rId1"/>
    <sheet name="amatoriale" sheetId="3" r:id="rId2"/>
    <sheet name="Foraggi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B18" i="1" l="1"/>
  <c r="D20" i="3"/>
  <c r="K14" i="3"/>
  <c r="N12" i="3"/>
  <c r="K12" i="3"/>
  <c r="K11" i="3"/>
  <c r="B11" i="3"/>
  <c r="R11" i="3" s="1"/>
  <c r="K10" i="3"/>
  <c r="E10" i="3"/>
  <c r="D10" i="3"/>
  <c r="F10" i="3" s="1"/>
  <c r="K9" i="3"/>
  <c r="E9" i="3"/>
  <c r="D9" i="3"/>
  <c r="F9" i="3" s="1"/>
  <c r="K8" i="3"/>
  <c r="E8" i="3"/>
  <c r="D8" i="3"/>
  <c r="F8" i="3" s="1"/>
  <c r="K7" i="3"/>
  <c r="E7" i="3"/>
  <c r="D7" i="3"/>
  <c r="A18" i="3" l="1"/>
  <c r="D18" i="3" s="1"/>
  <c r="D25" i="3" s="1"/>
  <c r="E11" i="3"/>
  <c r="D11" i="3"/>
  <c r="B2" i="3" s="1"/>
  <c r="F7" i="3"/>
  <c r="F11" i="3" s="1"/>
  <c r="R9" i="3"/>
  <c r="R7" i="3"/>
  <c r="R10" i="3"/>
  <c r="R12" i="3"/>
  <c r="K15" i="3"/>
  <c r="R8" i="3"/>
  <c r="E10" i="1"/>
  <c r="E9" i="1"/>
  <c r="E8" i="1"/>
  <c r="E7" i="1"/>
  <c r="B11" i="1"/>
  <c r="N18" i="1"/>
  <c r="R13" i="3" l="1"/>
  <c r="C2" i="3" s="1"/>
  <c r="D26" i="3" s="1"/>
  <c r="D28" i="3" s="1"/>
  <c r="K10" i="2"/>
  <c r="K4" i="2"/>
  <c r="E13" i="2"/>
  <c r="E14" i="2"/>
  <c r="E15" i="2"/>
  <c r="E16" i="2"/>
  <c r="E17" i="2"/>
  <c r="E18" i="2"/>
  <c r="D13" i="2"/>
  <c r="F13" i="2" s="1"/>
  <c r="D14" i="2"/>
  <c r="F14" i="2" s="1"/>
  <c r="D15" i="2"/>
  <c r="F15" i="2" s="1"/>
  <c r="D16" i="2"/>
  <c r="F16" i="2" s="1"/>
  <c r="D17" i="2"/>
  <c r="F17" i="2" s="1"/>
  <c r="D18" i="2"/>
  <c r="F18" i="2" s="1"/>
  <c r="K3" i="2"/>
  <c r="D19" i="1"/>
  <c r="K13" i="1"/>
  <c r="K12" i="1"/>
  <c r="D25" i="1"/>
  <c r="D2" i="3" l="1"/>
  <c r="K5" i="2"/>
  <c r="C5" i="2" s="1"/>
  <c r="E5" i="2" s="1"/>
  <c r="E19" i="2"/>
  <c r="C3" i="2"/>
  <c r="E3" i="2" s="1"/>
  <c r="C4" i="2"/>
  <c r="E4" i="2" s="1"/>
  <c r="C7" i="2"/>
  <c r="E7" i="2" s="1"/>
  <c r="C8" i="2"/>
  <c r="E8" i="2" s="1"/>
  <c r="C6" i="2"/>
  <c r="E6" i="2" s="1"/>
  <c r="D19" i="2"/>
  <c r="H10" i="2" s="1"/>
  <c r="K8" i="1"/>
  <c r="I10" i="2" l="1"/>
  <c r="K14" i="1"/>
  <c r="K11" i="1"/>
  <c r="K10" i="1"/>
  <c r="K7" i="1"/>
  <c r="R11" i="1"/>
  <c r="D7" i="1"/>
  <c r="F7" i="1" s="1"/>
  <c r="D8" i="1"/>
  <c r="D9" i="1"/>
  <c r="F9" i="1" s="1"/>
  <c r="D10" i="1"/>
  <c r="F10" i="1" s="1"/>
  <c r="J10" i="2" l="1"/>
  <c r="M10" i="2" s="1"/>
  <c r="E11" i="1"/>
  <c r="F8" i="1"/>
  <c r="F11" i="1" s="1"/>
  <c r="D11" i="1"/>
  <c r="B2" i="1" s="1"/>
  <c r="A18" i="1"/>
  <c r="R7" i="1"/>
  <c r="R8" i="1"/>
  <c r="R9" i="1"/>
  <c r="R12" i="1"/>
  <c r="R10" i="1"/>
  <c r="K15" i="1"/>
  <c r="E2" i="1" l="1"/>
  <c r="E3" i="1"/>
  <c r="F3" i="1"/>
  <c r="D28" i="1"/>
  <c r="R13" i="1"/>
  <c r="D18" i="1"/>
  <c r="D26" i="1" s="1"/>
  <c r="C2" i="1" l="1"/>
  <c r="D27" i="1" l="1"/>
  <c r="D29" i="1" s="1"/>
  <c r="D2" i="1"/>
</calcChain>
</file>

<file path=xl/sharedStrings.xml><?xml version="1.0" encoding="utf-8"?>
<sst xmlns="http://schemas.openxmlformats.org/spreadsheetml/2006/main" count="168" uniqueCount="84">
  <si>
    <t>Cucciolate</t>
  </si>
  <si>
    <t>Cuccioli 1a scelta</t>
  </si>
  <si>
    <t>Cuccioli 2a scelta</t>
  </si>
  <si>
    <t>Cuccioli 3a scelta</t>
  </si>
  <si>
    <t>Cuccioli regalati</t>
  </si>
  <si>
    <t>Listino</t>
  </si>
  <si>
    <t>Tipo</t>
  </si>
  <si>
    <t>prezzo</t>
  </si>
  <si>
    <t>Totale</t>
  </si>
  <si>
    <t>Mantenimento Fattrice</t>
  </si>
  <si>
    <t>Frequenza</t>
  </si>
  <si>
    <t>costo</t>
  </si>
  <si>
    <t>Cibo</t>
  </si>
  <si>
    <t>totale</t>
  </si>
  <si>
    <t>Vaccino</t>
  </si>
  <si>
    <t>Cesareo</t>
  </si>
  <si>
    <t>Antipulci</t>
  </si>
  <si>
    <t>V&amp;E</t>
  </si>
  <si>
    <t>Costi fissi cucciolata</t>
  </si>
  <si>
    <t>Modello A</t>
  </si>
  <si>
    <t>Costi per cucciolo</t>
  </si>
  <si>
    <t>Modello B</t>
  </si>
  <si>
    <t>Sverminante</t>
  </si>
  <si>
    <t>Costo</t>
  </si>
  <si>
    <t>Totale Utile</t>
  </si>
  <si>
    <t>Totale Spese</t>
  </si>
  <si>
    <t>Utile Netto</t>
  </si>
  <si>
    <t>Monta</t>
  </si>
  <si>
    <t>Deposito DNA</t>
  </si>
  <si>
    <t>Test Att.</t>
  </si>
  <si>
    <t>Ac+Luc</t>
  </si>
  <si>
    <t xml:space="preserve">ricavo annuo </t>
  </si>
  <si>
    <t>mutuo</t>
  </si>
  <si>
    <t xml:space="preserve">cani in allevamento </t>
  </si>
  <si>
    <t>Vermifugo</t>
  </si>
  <si>
    <t>Colonna1</t>
  </si>
  <si>
    <t>numero di cani</t>
  </si>
  <si>
    <t>stipendio</t>
  </si>
  <si>
    <t>Amortam</t>
  </si>
  <si>
    <t>INTEGRATORE</t>
  </si>
  <si>
    <t xml:space="preserve">amortamento strutture </t>
  </si>
  <si>
    <t>commercialista</t>
  </si>
  <si>
    <t>assicurazioni</t>
  </si>
  <si>
    <t>inps</t>
  </si>
  <si>
    <t xml:space="preserve">tassazione extra redd agricolo si calcola sul 25% del fatturato, pago le tasse sul 25% non sul totale dell'extra </t>
  </si>
  <si>
    <t>U/ha</t>
  </si>
  <si>
    <t>Fascia 1</t>
  </si>
  <si>
    <t>Fascia 2</t>
  </si>
  <si>
    <t>Fascia 3</t>
  </si>
  <si>
    <t>Fascia 4</t>
  </si>
  <si>
    <t>Fascia 5</t>
  </si>
  <si>
    <t>Fascia 6</t>
  </si>
  <si>
    <t>Animali</t>
  </si>
  <si>
    <t>U/A</t>
  </si>
  <si>
    <t>tot</t>
  </si>
  <si>
    <t>Rq/ha</t>
  </si>
  <si>
    <t>R/A</t>
  </si>
  <si>
    <t>Tot R/A</t>
  </si>
  <si>
    <t>Quote/tot</t>
  </si>
  <si>
    <t>HA</t>
  </si>
  <si>
    <t>Fisso</t>
  </si>
  <si>
    <t>Prod</t>
  </si>
  <si>
    <t>Quote</t>
  </si>
  <si>
    <t>UM</t>
  </si>
  <si>
    <t>Tot/vend</t>
  </si>
  <si>
    <t>R/Imp</t>
  </si>
  <si>
    <t>Tax</t>
  </si>
  <si>
    <t>TotTax</t>
  </si>
  <si>
    <t>Cani</t>
  </si>
  <si>
    <t xml:space="preserve">totale cani </t>
  </si>
  <si>
    <t xml:space="preserve">iva dovuto </t>
  </si>
  <si>
    <t>somma spese fisse</t>
  </si>
  <si>
    <t>ricavato</t>
  </si>
  <si>
    <t>costo IVA 22%</t>
  </si>
  <si>
    <t>Microchip</t>
  </si>
  <si>
    <t>Iva singolo</t>
  </si>
  <si>
    <t>IVA TOT</t>
  </si>
  <si>
    <t>Colonna2</t>
  </si>
  <si>
    <t>riprod</t>
  </si>
  <si>
    <t>progest</t>
  </si>
  <si>
    <t>lastra</t>
  </si>
  <si>
    <t>eco</t>
  </si>
  <si>
    <t>Iva da versare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</si>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</sst>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0.00_ ;\-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4" tint="0.3999755851924192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6" xfId="0" applyBorder="1"/>
    <xf numFmtId="165" fontId="0" fillId="0" borderId="7" xfId="0" applyNumberFormat="1" applyBorder="1"/>
    <xf numFmtId="0" fontId="0" fillId="0" borderId="8" xfId="0" applyBorder="1"/>
    <xf numFmtId="166" fontId="0" fillId="0" borderId="0" xfId="0" applyNumberFormat="1"/>
    <xf numFmtId="0" fontId="0" fillId="0" borderId="9" xfId="0" applyBorder="1"/>
    <xf numFmtId="2" fontId="0" fillId="0" borderId="0" xfId="0" applyNumberFormat="1"/>
    <xf numFmtId="3" fontId="0" fillId="0" borderId="0" xfId="0" applyNumberFormat="1"/>
    <xf numFmtId="10" fontId="0" fillId="0" borderId="0" xfId="0" applyNumberFormat="1"/>
    <xf numFmtId="0" fontId="1" fillId="2" borderId="0" xfId="0" applyFont="1" applyFill="1" applyAlignment="1">
      <alignment horizontal="center"/>
    </xf>
    <xf numFmtId="165" fontId="0" fillId="4" borderId="0" xfId="0" applyNumberFormat="1" applyFill="1"/>
    <xf numFmtId="165" fontId="0" fillId="0" borderId="10" xfId="0" applyNumberFormat="1" applyBorder="1"/>
    <xf numFmtId="0" fontId="0" fillId="0" borderId="10" xfId="0" applyBorder="1"/>
    <xf numFmtId="165" fontId="3" fillId="0" borderId="7" xfId="0" applyNumberFormat="1" applyFont="1" applyBorder="1"/>
    <xf numFmtId="0" fontId="3" fillId="0" borderId="8" xfId="0" applyFont="1" applyBorder="1"/>
    <xf numFmtId="166" fontId="3" fillId="0" borderId="9" xfId="0" applyNumberFormat="1" applyFont="1" applyBorder="1"/>
    <xf numFmtId="165" fontId="0" fillId="4" borderId="11" xfId="0" applyNumberFormat="1" applyFill="1" applyBorder="1"/>
    <xf numFmtId="166" fontId="0" fillId="0" borderId="9" xfId="0" applyNumberFormat="1" applyBorder="1"/>
    <xf numFmtId="0" fontId="0" fillId="0" borderId="12" xfId="0" applyBorder="1"/>
    <xf numFmtId="165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5" fontId="0" fillId="0" borderId="16" xfId="0" applyNumberFormat="1" applyBorder="1"/>
    <xf numFmtId="165" fontId="3" fillId="0" borderId="18" xfId="0" applyNumberFormat="1" applyFont="1" applyBorder="1"/>
    <xf numFmtId="0" fontId="3" fillId="0" borderId="19" xfId="0" applyFont="1" applyBorder="1"/>
    <xf numFmtId="165" fontId="0" fillId="5" borderId="16" xfId="0" applyNumberFormat="1" applyFill="1" applyBorder="1"/>
    <xf numFmtId="0" fontId="0" fillId="5" borderId="12" xfId="0" applyFill="1" applyBorder="1"/>
    <xf numFmtId="166" fontId="0" fillId="5" borderId="17" xfId="0" applyNumberFormat="1" applyFill="1" applyBorder="1"/>
    <xf numFmtId="0" fontId="0" fillId="5" borderId="17" xfId="0" applyFill="1" applyBorder="1"/>
    <xf numFmtId="165" fontId="0" fillId="6" borderId="16" xfId="0" applyNumberFormat="1" applyFill="1" applyBorder="1"/>
    <xf numFmtId="0" fontId="0" fillId="6" borderId="12" xfId="0" applyFill="1" applyBorder="1"/>
    <xf numFmtId="164" fontId="0" fillId="6" borderId="17" xfId="0" applyNumberFormat="1" applyFill="1" applyBorder="1"/>
    <xf numFmtId="166" fontId="3" fillId="7" borderId="20" xfId="0" applyNumberFormat="1" applyFont="1" applyFill="1" applyBorder="1"/>
    <xf numFmtId="164" fontId="0" fillId="8" borderId="0" xfId="0" applyNumberFormat="1" applyFill="1"/>
    <xf numFmtId="165" fontId="0" fillId="8" borderId="17" xfId="0" applyNumberFormat="1" applyFill="1" applyBorder="1"/>
    <xf numFmtId="164" fontId="0" fillId="6" borderId="0" xfId="0" applyNumberFormat="1" applyFill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e" xfId="0" builtinId="0"/>
  </cellStyles>
  <dxfs count="55">
    <dxf>
      <numFmt numFmtId="164" formatCode="#,##0.00\ &quot;€&quot;"/>
    </dxf>
    <dxf>
      <numFmt numFmtId="3" formatCode="#,##0"/>
    </dxf>
    <dxf>
      <numFmt numFmtId="2" formatCode="0.0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4" formatCode="0.00%"/>
    </dxf>
    <dxf>
      <numFmt numFmtId="14" formatCode="0.00%"/>
    </dxf>
    <dxf>
      <numFmt numFmtId="164" formatCode="#,##0.00\ &quot;€&quot;"/>
    </dxf>
    <dxf>
      <numFmt numFmtId="3" formatCode="#,##0"/>
    </dxf>
    <dxf>
      <numFmt numFmtId="0" formatCode="General"/>
    </dxf>
    <dxf>
      <numFmt numFmtId="164" formatCode="#,##0.00\ &quot;€&quot;"/>
    </dxf>
    <dxf>
      <numFmt numFmtId="3" formatCode="#,##0"/>
    </dxf>
    <dxf>
      <numFmt numFmtId="2" formatCode="0.00"/>
    </dxf>
    <dxf>
      <numFmt numFmtId="3" formatCode="#,##0"/>
    </dxf>
    <dxf>
      <numFmt numFmtId="164" formatCode="#,##0.00\ &quot;€&quot;"/>
    </dxf>
    <dxf>
      <numFmt numFmtId="164" formatCode="#,##0.00\ &quot;€&quot;"/>
    </dxf>
    <dxf>
      <numFmt numFmtId="2" formatCode="0.00"/>
    </dxf>
    <dxf>
      <numFmt numFmtId="3" formatCode="#,##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124802-3288-4170-9ACC-72234275C200}" name="Tabella1" displayName="Tabella1" ref="A6:F11" totalsRowCount="1">
  <autoFilter ref="A6:F10" xr:uid="{06DB4432-A63B-4827-8994-5ED0EC3F4DEC}"/>
  <tableColumns count="6">
    <tableColumn id="1" xr3:uid="{EF552E88-7F2F-4F08-96FE-165057315F8D}" name="Tipo" totalsRowLabel="Totale"/>
    <tableColumn id="2" xr3:uid="{960CCCEC-A9D2-49FD-A5BF-6AB2419DE48D}" name="Colonna1" totalsRowFunction="sum"/>
    <tableColumn id="3" xr3:uid="{9C8CAC2D-791A-425A-9270-6F736399F144}" name="prezzo" dataDxfId="54"/>
    <tableColumn id="4" xr3:uid="{8D9C78F4-61B8-43E3-A9AA-48303D1C1C42}" name="Totale" totalsRowFunction="sum" dataDxfId="53" totalsRowDxfId="11">
      <calculatedColumnFormula>Tabella1[[#This Row],[prezzo]]*Tabella1[[#This Row],[Colonna1]]</calculatedColumnFormula>
    </tableColumn>
    <tableColumn id="5" xr3:uid="{E61E5A53-3D03-492E-8812-DCB79F8138A0}" name="Iva singolo" totalsRowFunction="custom" dataDxfId="52" totalsRowDxfId="10">
      <calculatedColumnFormula>D7*(1*J1)</calculatedColumnFormula>
      <totalsRowFormula>SUM(E7:E10)</totalsRowFormula>
    </tableColumn>
    <tableColumn id="6" xr3:uid="{EE38F6DC-C61D-424E-A526-268686C7663D}" name="IVA TOT" totalsRowFunction="custom" dataDxfId="51" totalsRowDxfId="9">
      <calculatedColumnFormula>D7*(1*J2)</calculatedColumnFormula>
      <totalsRowFormula>SUM(F7:F10)</totalsRowFormula>
    </tableColumn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435FA-1D0A-421B-8E23-534BE945FD82}" name="Tabella2" displayName="Tabella2" ref="H6:K15" totalsRowCount="1">
  <autoFilter ref="H6:K14" xr:uid="{AAC0EE3F-E163-4F24-A25E-D48B156CDAD5}"/>
  <tableColumns count="4">
    <tableColumn id="1" xr3:uid="{D06E14C2-BE31-4679-9F20-DF504837F5E9}" name="Tipo" totalsRowLabel="Totale"/>
    <tableColumn id="2" xr3:uid="{7EA2230F-558E-45A6-A5C0-110B0D0A655C}" name="Frequenza"/>
    <tableColumn id="3" xr3:uid="{76D40522-3D1C-4886-B8F1-8464595B7BD4}" name="costo" dataDxfId="5"/>
    <tableColumn id="4" xr3:uid="{0E0D6831-F238-413C-AD12-3442E3CC870C}" name="totale" totalsRowFunction="sum" dataDxfId="4" totalsRowDxfId="3">
      <calculatedColumnFormula>Tabella2[[#This Row],[costo]]*Tabella2[[#This Row],[Frequenza]]</calculatedColumnFormula>
    </tableColumn>
  </tableColumns>
  <tableStyleInfo name="TableStyleMedium3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CF85C3-967E-4580-A555-F35F77D5D354}" name="Tabella3" displayName="Tabella3" ref="M6:N18" totalsRowCount="1">
  <autoFilter ref="M6:N17" xr:uid="{1CD70B5B-DDF6-4086-A530-F1BD1DB7AB75}"/>
  <tableColumns count="2">
    <tableColumn id="1" xr3:uid="{096DFA17-5EA2-4E03-B0AA-48BF80DC04A8}" name="Tipo" totalsRowLabel="Totale"/>
    <tableColumn id="2" xr3:uid="{E5BE846C-F776-48DB-936C-2DBD10AB76EC}" name="costo" totalsRowFunction="sum" dataDxfId="50" totalsRowDxfId="49"/>
  </tableColumns>
  <tableStyleInfo name="TableStyleMedium2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EA6C93-E9E2-42C0-95F9-99E9E8BAE9CD}" name="Tabella4" displayName="Tabella4" ref="P6:R13" totalsRowCount="1">
  <autoFilter ref="P6:R12" xr:uid="{1F15975E-0F07-4D31-8757-3B03C570C80C}"/>
  <tableColumns count="3">
    <tableColumn id="1" xr3:uid="{BD65F44B-E7A3-41F6-B4DF-715FD63FE429}" name="Tipo" totalsRowLabel="Totale"/>
    <tableColumn id="2" xr3:uid="{0DD82AD3-EC5F-4966-8278-58EBC0079CE0}" name="Costo" dataDxfId="8"/>
    <tableColumn id="3" xr3:uid="{AFE1A1DE-8177-411E-993F-19A1180ABA6E}" name="Totale" totalsRowFunction="sum" dataDxfId="7" totalsRowDxfId="6">
      <calculatedColumnFormula>Tabella4[[#This Row],[Costo]]*Tabella1[[#Totals],[Colonna1]]</calculatedColumnFormula>
    </tableColumn>
  </tableColumns>
  <tableStyleInfo name="TableStyleMedium3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347B6D-95D3-45B8-A508-24FD0E7446DB}" name="Tabella5" displayName="Tabella5" ref="A1:F3" totalsRowShown="0">
  <autoFilter ref="A1:F3" xr:uid="{3C3B2CA7-BC19-4EC5-9CEA-DE4825A90A17}"/>
  <tableColumns count="6">
    <tableColumn id="1" xr3:uid="{C1EEAD16-7A66-41F1-B0CE-655FDC9F8D33}" name="Cucciolate"/>
    <tableColumn id="2" xr3:uid="{BD26A2E6-BD8C-4572-902E-9531B733476B}" name="Totale Utile" dataDxfId="48">
      <calculatedColumnFormula>Tabella1[[#Totals],[Totale]]*Tabella5[[#This Row],[Cucciolate]]</calculatedColumnFormula>
    </tableColumn>
    <tableColumn id="3" xr3:uid="{E16B38D4-0193-4C23-8D52-A16C7D12B635}" name="Totale Spese" dataDxfId="47">
      <calculatedColumnFormula>(Tabella2[[#Totals],[totale]]+Tabella3[[#Totals],[costo]]+Tabella4[[#Totals],[Totale]])*Tabella5[[#This Row],[Cucciolate]]</calculatedColumnFormula>
    </tableColumn>
    <tableColumn id="4" xr3:uid="{A7B83BBC-0FF1-4B66-AC96-943211BD936E}" name="Utile Netto" dataDxfId="46">
      <calculatedColumnFormula>B2+C2</calculatedColumnFormula>
    </tableColumn>
    <tableColumn id="5" xr3:uid="{4A156C18-374D-49B3-9341-01E448740316}" name="Iva da versare" dataDxfId="45">
      <calculatedColumnFormula>A2*(Tabella1[[#Totals],[IVA TOT]])</calculatedColumnFormula>
    </tableColumn>
    <tableColumn id="6" xr3:uid="{93088AAA-CCCF-4AB3-9FFD-16359B5A2E0B}" name="Colonna2" dataDxfId="44">
      <calculatedColumnFormula>A2*(Tabella1[[#Totals],[IVA TOT]])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D0596C9-6E5A-4F88-AF97-8284B725579B}" name="Tabella136" displayName="Tabella136" ref="A6:F11" totalsRowCount="1">
  <autoFilter ref="A6:F10" xr:uid="{8D0596C9-6E5A-4F88-AF97-8284B725579B}"/>
  <tableColumns count="6">
    <tableColumn id="1" xr3:uid="{16D7EA44-B5B5-4C72-B747-50CD6C5CD0FA}" name="Tipo" totalsRowLabel="Totale"/>
    <tableColumn id="2" xr3:uid="{48E7DB00-6030-4B09-9394-99E23780B16C}" name="Colonna1" totalsRowFunction="sum"/>
    <tableColumn id="3" xr3:uid="{3F94BC99-1FA3-495F-86DD-F3C5E652D895}" name="prezzo" dataDxfId="43"/>
    <tableColumn id="4" xr3:uid="{8CBC6BDC-A49E-4A2E-94C6-A8916414E830}" name="Totale" totalsRowFunction="sum" dataDxfId="42" totalsRowDxfId="41">
      <calculatedColumnFormula>Tabella136[[#This Row],[prezzo]]*Tabella136[[#This Row],[Colonna1]]</calculatedColumnFormula>
    </tableColumn>
    <tableColumn id="5" xr3:uid="{3F71772F-013D-4906-82BD-55486F7BA3DB}" name="Iva singolo" totalsRowFunction="custom" dataDxfId="40" totalsRowDxfId="39">
      <calculatedColumnFormula>D7*(1*J1)</calculatedColumnFormula>
      <totalsRowFormula>SUM(E7:E10)</totalsRowFormula>
    </tableColumn>
    <tableColumn id="6" xr3:uid="{EC66A47F-D6F8-44E7-AF5D-B2C353C024C3}" name="IVA TOT" totalsRowFunction="custom" dataDxfId="38" totalsRowDxfId="37">
      <calculatedColumnFormula>D7*(1*J2)</calculatedColumnFormula>
      <totalsRowFormula>SUM(F7:F10)</totalsRowFormula>
    </tableColumn>
  </tableColumns>
  <tableStyleInfo name="TableStyleMedium2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94CC5A6-2CA9-448B-9FB5-1B6DE3AC5D83}" name="Tabella237" displayName="Tabella237" ref="H6:K15" totalsRowCount="1">
  <autoFilter ref="H6:K14" xr:uid="{E94CC5A6-2CA9-448B-9FB5-1B6DE3AC5D83}"/>
  <tableColumns count="4">
    <tableColumn id="1" xr3:uid="{73A991C2-A651-4362-8750-DB5B525146AC}" name="Tipo" totalsRowLabel="Totale"/>
    <tableColumn id="2" xr3:uid="{898F8EF3-9A19-48B8-8055-448D437A4630}" name="Frequenza"/>
    <tableColumn id="3" xr3:uid="{B2574F59-E7AF-457B-9756-1E719F1AAEB8}" name="costo" dataDxfId="36"/>
    <tableColumn id="4" xr3:uid="{40E48F58-C9F1-446A-ACD8-DEDB66A0742D}" name="totale" totalsRowFunction="sum" dataDxfId="35" totalsRowDxfId="34">
      <calculatedColumnFormula>Tabella237[[#This Row],[costo]]*Tabella237[[#This Row],[Frequenza]]</calculatedColumnFormula>
    </tableColumn>
  </tableColumns>
  <tableStyleInfo name="TableStyleMedium3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F93DCA6-A278-483D-80FE-F52C6CDE0490}" name="Tabella338" displayName="Tabella338" ref="M6:N12" totalsRowCount="1">
  <autoFilter ref="M6:N11" xr:uid="{0F93DCA6-A278-483D-80FE-F52C6CDE0490}"/>
  <tableColumns count="2">
    <tableColumn id="1" xr3:uid="{D66FE92F-30A8-4D19-B534-B1F4C776BA85}" name="Tipo" totalsRowLabel="Totale"/>
    <tableColumn id="2" xr3:uid="{6A96C710-29C5-432D-B784-E95393C96573}" name="costo" totalsRowFunction="sum" dataDxfId="33" totalsRowDxfId="32"/>
  </tableColumns>
  <tableStyleInfo name="TableStyleMedium2"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41A0738-5B0D-4D02-A682-2C83EFB40962}" name="Tabella439" displayName="Tabella439" ref="P6:R13" totalsRowCount="1">
  <autoFilter ref="P6:R12" xr:uid="{F41A0738-5B0D-4D02-A682-2C83EFB40962}"/>
  <tableColumns count="3">
    <tableColumn id="1" xr3:uid="{B52D058F-1649-4AA3-B517-1856F1D4341C}" name="Tipo" totalsRowLabel="Totale"/>
    <tableColumn id="2" xr3:uid="{BDB1D356-823A-46A5-9ADF-381590E9B59B}" name="Costo" dataDxfId="31"/>
    <tableColumn id="3" xr3:uid="{5A5B8BF2-41D7-4923-AA35-0A2C0F7823CB}" name="Totale" totalsRowFunction="sum" dataDxfId="30" totalsRowDxfId="29">
      <calculatedColumnFormula>Tabella439[[#This Row],[Costo]]*Tabella136[[#Totals],[Colonna1]]</calculatedColumnFormula>
    </tableColumn>
  </tableColumns>
  <tableStyleInfo name="TableStyleMedium3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ED1FD62-FC63-4B9C-84F4-D49AF81F9640}" name="Tabella540" displayName="Tabella540" ref="A1:E3" totalsRowShown="0">
  <autoFilter ref="A1:E3" xr:uid="{2ED1FD62-FC63-4B9C-84F4-D49AF81F9640}"/>
  <tableColumns count="5">
    <tableColumn id="1" xr3:uid="{3C56521F-93F0-4850-9A83-767FE09ED612}" name="Cucciolate"/>
    <tableColumn id="2" xr3:uid="{6C678ADC-A07A-436E-8A37-1A003EBA8CC9}" name="Totale Utile" dataDxfId="28">
      <calculatedColumnFormula>Tabella1[[#Totals],[Totale]]*Tabella540[[#This Row],[Cucciolate]]</calculatedColumnFormula>
    </tableColumn>
    <tableColumn id="3" xr3:uid="{B8CC26F4-F216-4FC3-9BBC-645FE3BAD113}" name="Totale Spese" dataDxfId="27">
      <calculatedColumnFormula>(Tabella2[[#Totals],[totale]]+Tabella3[[#Totals],[costo]]+Tabella4[[#Totals],[Totale]])*Tabella540[[#This Row],[Cucciolate]]</calculatedColumnFormula>
    </tableColumn>
    <tableColumn id="4" xr3:uid="{873A35DE-AFCD-4E3C-B8CA-631B198ED7AE}" name="Utile Netto" dataDxfId="26">
      <calculatedColumnFormula>B2+C2</calculatedColumnFormula>
    </tableColumn>
    <tableColumn id="5" xr3:uid="{2EDB4986-C273-4D18-871C-103684CEBB39}" name="Colonna1" dataDxfId="25">
      <calculatedColumnFormula>(B2+C2)*(1*J2)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05875A8-4763-44BA-BECF-5B43B81D982D}" name="Tabella6" displayName="Tabella6" ref="A2:E8" totalsRowShown="0">
  <autoFilter ref="A2:E8" xr:uid="{705875A8-4763-44BA-BECF-5B43B81D982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D52AC92-1375-460A-874F-5658D72BCF35}" name="Tipo"/>
    <tableColumn id="2" xr3:uid="{EEE23F27-4E1F-4ED1-9628-6EABE1EFC1E9}" name="U/ha" dataDxfId="24"/>
    <tableColumn id="3" xr3:uid="{99294F30-68C7-4DDD-AA1A-08403F618F5A}" name="Rq/ha" dataDxfId="23">
      <calculatedColumnFormula>Tabella7[[#Totals],[tot]]/Tabella6[[#This Row],[U/ha]]</calculatedColumnFormula>
    </tableColumn>
    <tableColumn id="4" xr3:uid="{CB7355AF-A838-40DC-99AB-9FDFBE5A1A54}" name="R/A" dataDxfId="22"/>
    <tableColumn id="5" xr3:uid="{7633A3FD-9E3C-4D38-B16F-939718120EB5}" name="Tot R/A" dataDxfId="21">
      <calculatedColumnFormula>Tabella6[[#This Row],[Rq/ha]]*Tabella6[[#This Row],[R/A]]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4F50D01-11E7-4DDD-9C68-B83137DCBC9B}" name="Tabella7" displayName="Tabella7" ref="H2:K5" totalsRowCount="1">
  <autoFilter ref="H2:K4" xr:uid="{B4F50D01-11E7-4DDD-9C68-B83137DCBC9B}">
    <filterColumn colId="0" hiddenButton="1"/>
    <filterColumn colId="1" hiddenButton="1"/>
    <filterColumn colId="2" hiddenButton="1"/>
    <filterColumn colId="3" hiddenButton="1"/>
  </autoFilter>
  <tableColumns count="4">
    <tableColumn id="5" xr3:uid="{6A56ABF5-B4FA-4815-AA97-48A97AB2A7B8}" name="Tipo"/>
    <tableColumn id="1" xr3:uid="{BEA986FF-ABC3-40D8-A72D-D832F5F14252}" name="Animali"/>
    <tableColumn id="2" xr3:uid="{43E77089-AF65-4857-BC00-D79AEB206275}" name="U/A"/>
    <tableColumn id="3" xr3:uid="{6E831E21-83F7-4CC8-9C6A-9A70F8DB71CD}" name="tot" totalsRowFunction="sum">
      <calculatedColumnFormula>Tabella7[[#This Row],[Animali]]*Tabella7[[#This Row],[U/A]]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AA86DA9-1DFD-4641-B4FA-3E1BA4B9BA97}" name="Tabella69" displayName="Tabella69" ref="A12:F19" totalsRowCount="1">
  <autoFilter ref="A12:F18" xr:uid="{7AA86DA9-1DFD-4641-B4FA-3E1BA4B9BA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0F92C53-86CC-4987-A15D-18E7F8D42D1D}" name="Tipo"/>
    <tableColumn id="2" xr3:uid="{86F34B12-48A6-472A-B4CC-110714D5B437}" name="U/ha" dataDxfId="20"/>
    <tableColumn id="3" xr3:uid="{622D897C-A005-4BB5-BCC3-C13078E56F70}" name="HA" dataDxfId="19" totalsRowDxfId="2"/>
    <tableColumn id="4" xr3:uid="{DAF1DACF-5FED-4963-B349-75831AD0ADC9}" name="Quote/tot" totalsRowFunction="sum" dataDxfId="18" totalsRowDxfId="1">
      <calculatedColumnFormula>Tabella69[[#This Row],[HA]]*B3</calculatedColumnFormula>
    </tableColumn>
    <tableColumn id="5" xr3:uid="{5431BD97-7858-4B8B-8EAD-1CD02C0633BC}" name="R/A" totalsRowFunction="sum" dataDxfId="17" totalsRowDxfId="0">
      <calculatedColumnFormula>Tabella69[[#This Row],[HA]]*D3</calculatedColumnFormula>
    </tableColumn>
    <tableColumn id="6" xr3:uid="{516B324D-AF16-4D6D-8226-DED9A1070445}" name="Cani" dataDxfId="16">
      <calculatedColumnFormula>ROUNDDOWN(Tabella69[[#This Row],[Quote/tot]]/$J$3,0)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97D3D35-7C6D-4E45-A89B-49E1EAC72AC0}" name="Tabella10" displayName="Tabella10" ref="H9:M10" totalsRowShown="0">
  <autoFilter ref="H9:M10" xr:uid="{E97D3D35-7C6D-4E45-A89B-49E1EAC72A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7E93247-9A71-469A-879B-C68F6AC9468C}" name="Quote">
      <calculatedColumnFormula>IF(Tabella7[[#Totals],[tot]]-Tabella69[[#Totals],[Quote/tot]]&gt;0,Tabella7[[#Totals],[tot]]-Tabella69[[#Totals],[Quote/tot]],0)</calculatedColumnFormula>
    </tableColumn>
    <tableColumn id="3" xr3:uid="{6EE83822-6DBF-447B-AFF7-A74E33DD523C}" name="UM" dataDxfId="15">
      <calculatedColumnFormula>ROUNDUP(Tabella10[[#This Row],[Quote]]/J3,0)</calculatedColumnFormula>
    </tableColumn>
    <tableColumn id="4" xr3:uid="{FFFF707F-B906-4305-A60B-56B6FC28F62F}" name="Tot/vend" dataDxfId="14">
      <calculatedColumnFormula>p.iva!C7*Tabella10[[#This Row],[UM]]</calculatedColumnFormula>
    </tableColumn>
    <tableColumn id="5" xr3:uid="{38C586B4-DE14-48DE-954D-3A78B5C20B80}" name="R/Imp" dataDxfId="13">
      <calculatedColumnFormula>25%</calculatedColumnFormula>
    </tableColumn>
    <tableColumn id="6" xr3:uid="{58D0A119-F27D-4970-9FAE-4519E139F72D}" name="Tax" dataDxfId="12"/>
    <tableColumn id="7" xr3:uid="{547CB4E5-8E52-43D5-91FD-1969A511D416}" name="TotTax">
      <calculatedColumnFormula>(Tabella10[[#This Row],[Tot/vend]]*Tabella10[[#This Row],[R/Imp]])*Tabella10[[#This Row],[Tax]]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workbookViewId="0">
      <selection activeCell="B19" sqref="B19"/>
    </sheetView>
  </sheetViews>
  <sheetFormatPr defaultRowHeight="15" x14ac:dyDescent="0.25"/>
  <cols>
    <col min="1" max="1" width="15.28515625" bestFit="1" customWidth="1"/>
    <col min="2" max="2" width="12.7109375" bestFit="1" customWidth="1"/>
    <col min="3" max="3" width="13.7109375" bestFit="1" customWidth="1"/>
    <col min="4" max="4" width="12.28515625" bestFit="1" customWidth="1"/>
    <col min="5" max="6" width="12.28515625" customWidth="1"/>
    <col min="7" max="7" width="4.7109375" customWidth="1"/>
    <col min="8" max="8" width="8.42578125" bestFit="1" customWidth="1"/>
    <col min="9" max="9" width="11.85546875" bestFit="1" customWidth="1"/>
    <col min="10" max="10" width="10.85546875" customWidth="1"/>
    <col min="11" max="11" width="11.140625" customWidth="1"/>
    <col min="12" max="12" width="4.28515625" customWidth="1"/>
    <col min="13" max="13" width="9.7109375" bestFit="1" customWidth="1"/>
    <col min="14" max="14" width="10.28515625" bestFit="1" customWidth="1"/>
    <col min="15" max="15" width="4.85546875" customWidth="1"/>
    <col min="16" max="16" width="13.28515625" customWidth="1"/>
    <col min="17" max="17" width="8.7109375" bestFit="1" customWidth="1"/>
    <col min="18" max="18" width="10.85546875" customWidth="1"/>
  </cols>
  <sheetData>
    <row r="1" spans="1:18" x14ac:dyDescent="0.25">
      <c r="A1" t="s">
        <v>0</v>
      </c>
      <c r="B1" t="s">
        <v>24</v>
      </c>
      <c r="C1" t="s">
        <v>25</v>
      </c>
      <c r="D1" t="s">
        <v>26</v>
      </c>
      <c r="E1" t="s">
        <v>82</v>
      </c>
      <c r="F1" t="s">
        <v>77</v>
      </c>
      <c r="I1" t="s">
        <v>69</v>
      </c>
      <c r="J1">
        <v>16</v>
      </c>
    </row>
    <row r="2" spans="1:18" x14ac:dyDescent="0.25">
      <c r="A2">
        <v>12</v>
      </c>
      <c r="B2" s="1">
        <f>Tabella1[[#Totals],[Totale]]*Tabella5[[#This Row],[Cucciolate]]</f>
        <v>144000</v>
      </c>
      <c r="C2" s="1">
        <f>(Tabella2[[#Totals],[totale]]+Tabella3[[#Totals],[costo]]+Tabella4[[#Totals],[Totale]])*Tabella5[[#This Row],[Cucciolate]]</f>
        <v>-46662</v>
      </c>
      <c r="D2" s="36">
        <f>B2+C2</f>
        <v>97338</v>
      </c>
      <c r="E2" s="38">
        <f>A2*(Tabella1[[#Totals],[IVA TOT]])</f>
        <v>31680</v>
      </c>
      <c r="F2" s="1"/>
      <c r="I2" t="s">
        <v>70</v>
      </c>
      <c r="J2" s="10">
        <v>0.22</v>
      </c>
    </row>
    <row r="3" spans="1:18" x14ac:dyDescent="0.25">
      <c r="B3" s="1"/>
      <c r="C3" s="1"/>
      <c r="D3" s="1"/>
      <c r="E3" s="1">
        <f>A3*(Tabella1[[#Totals],[IVA TOT]])</f>
        <v>0</v>
      </c>
      <c r="F3" s="1">
        <f>A3*(Tabella1[[#Totals],[IVA TOT]])</f>
        <v>0</v>
      </c>
    </row>
    <row r="5" spans="1:18" x14ac:dyDescent="0.25">
      <c r="A5" s="39" t="s">
        <v>5</v>
      </c>
      <c r="B5" s="40"/>
      <c r="C5" s="40"/>
      <c r="D5" s="40"/>
      <c r="E5" s="11"/>
      <c r="F5" s="11"/>
      <c r="H5" s="41" t="s">
        <v>9</v>
      </c>
      <c r="I5" s="42"/>
      <c r="J5" s="42"/>
      <c r="K5" s="42"/>
      <c r="M5" s="43" t="s">
        <v>18</v>
      </c>
      <c r="N5" s="44"/>
      <c r="P5" s="41" t="s">
        <v>20</v>
      </c>
      <c r="Q5" s="42"/>
      <c r="R5" s="42"/>
    </row>
    <row r="6" spans="1:18" x14ac:dyDescent="0.25">
      <c r="A6" t="s">
        <v>6</v>
      </c>
      <c r="B6" t="s">
        <v>35</v>
      </c>
      <c r="C6" t="s">
        <v>7</v>
      </c>
      <c r="D6" t="s">
        <v>8</v>
      </c>
      <c r="E6" t="s">
        <v>75</v>
      </c>
      <c r="F6" t="s">
        <v>76</v>
      </c>
      <c r="H6" t="s">
        <v>6</v>
      </c>
      <c r="I6" t="s">
        <v>10</v>
      </c>
      <c r="J6" t="s">
        <v>11</v>
      </c>
      <c r="K6" t="s">
        <v>13</v>
      </c>
      <c r="M6" t="s">
        <v>6</v>
      </c>
      <c r="N6" t="s">
        <v>11</v>
      </c>
      <c r="P6" t="s">
        <v>6</v>
      </c>
      <c r="Q6" t="s">
        <v>23</v>
      </c>
      <c r="R6" t="s">
        <v>8</v>
      </c>
    </row>
    <row r="7" spans="1:18" x14ac:dyDescent="0.25">
      <c r="A7" t="s">
        <v>1</v>
      </c>
      <c r="B7">
        <v>8</v>
      </c>
      <c r="C7" s="1">
        <v>1500</v>
      </c>
      <c r="D7" s="1">
        <f>Tabella1[[#This Row],[prezzo]]*Tabella1[[#This Row],[Colonna1]]</f>
        <v>12000</v>
      </c>
      <c r="E7" s="1">
        <f>C7*(1*J2)</f>
        <v>330</v>
      </c>
      <c r="F7" s="1">
        <f>D7*(1*J2)</f>
        <v>2640</v>
      </c>
      <c r="H7" t="s">
        <v>12</v>
      </c>
      <c r="I7">
        <v>12</v>
      </c>
      <c r="J7" s="1">
        <v>-38</v>
      </c>
      <c r="K7" s="1">
        <f>Tabella2[[#This Row],[costo]]*Tabella2[[#This Row],[Frequenza]]</f>
        <v>-456</v>
      </c>
      <c r="M7" t="s">
        <v>27</v>
      </c>
      <c r="N7" s="1"/>
      <c r="P7" t="s">
        <v>21</v>
      </c>
      <c r="Q7" s="1">
        <v>-21.5</v>
      </c>
      <c r="R7" s="1">
        <f>Tabella4[[#This Row],[Costo]]*Tabella1[[#Totals],[Colonna1]]</f>
        <v>-172</v>
      </c>
    </row>
    <row r="8" spans="1:18" x14ac:dyDescent="0.25">
      <c r="A8" t="s">
        <v>2</v>
      </c>
      <c r="C8" s="1">
        <v>1000</v>
      </c>
      <c r="D8" s="1">
        <f>Tabella1[[#This Row],[prezzo]]*Tabella1[[#This Row],[Colonna1]]</f>
        <v>0</v>
      </c>
      <c r="E8" s="1">
        <f>C8*(1*J2)</f>
        <v>220</v>
      </c>
      <c r="F8" s="1">
        <f>D8*(1*J2)</f>
        <v>0</v>
      </c>
      <c r="H8" t="s">
        <v>16</v>
      </c>
      <c r="I8">
        <v>6</v>
      </c>
      <c r="J8" s="1">
        <v>-15</v>
      </c>
      <c r="K8" s="1">
        <f>Tabella2[[#This Row],[costo]]*Tabella2[[#This Row],[Frequenza]]</f>
        <v>-90</v>
      </c>
      <c r="M8" t="s">
        <v>19</v>
      </c>
      <c r="N8" s="1">
        <v>-25.5</v>
      </c>
      <c r="P8" t="s">
        <v>28</v>
      </c>
      <c r="Q8" s="1">
        <v>-35</v>
      </c>
      <c r="R8" s="1">
        <f>Tabella4[[#This Row],[Costo]]*Tabella1[[#Totals],[Colonna1]]</f>
        <v>-280</v>
      </c>
    </row>
    <row r="9" spans="1:18" x14ac:dyDescent="0.25">
      <c r="A9" t="s">
        <v>3</v>
      </c>
      <c r="C9" s="1">
        <v>800</v>
      </c>
      <c r="D9" s="1">
        <f>Tabella1[[#This Row],[prezzo]]*Tabella1[[#This Row],[Colonna1]]</f>
        <v>0</v>
      </c>
      <c r="E9" s="1">
        <f>C9*(1*J2)</f>
        <v>176</v>
      </c>
      <c r="F9" s="1">
        <f>D9*(1*J2)</f>
        <v>0</v>
      </c>
      <c r="H9" t="s">
        <v>30</v>
      </c>
      <c r="I9">
        <v>12</v>
      </c>
      <c r="J9" s="1">
        <v>-50</v>
      </c>
      <c r="K9" s="1">
        <f>Tabella2[[#This Row],[costo]]*Tabella2[[#This Row],[Frequenza]]</f>
        <v>-600</v>
      </c>
      <c r="M9" t="s">
        <v>15</v>
      </c>
      <c r="N9" s="1">
        <v>-350</v>
      </c>
      <c r="P9" t="s">
        <v>29</v>
      </c>
      <c r="Q9" s="1">
        <v>-20</v>
      </c>
      <c r="R9" s="1">
        <f>Tabella4[[#This Row],[Costo]]*Tabella1[[#Totals],[Colonna1]]</f>
        <v>-160</v>
      </c>
    </row>
    <row r="10" spans="1:18" x14ac:dyDescent="0.25">
      <c r="A10" t="s">
        <v>4</v>
      </c>
      <c r="C10" s="1">
        <v>0</v>
      </c>
      <c r="D10" s="1">
        <f>Tabella1[[#This Row],[prezzo]]*Tabella1[[#This Row],[Colonna1]]</f>
        <v>0</v>
      </c>
      <c r="E10" s="1">
        <f>C10*(1*J2)</f>
        <v>0</v>
      </c>
      <c r="F10" s="1">
        <f>D10*(1*J2)</f>
        <v>0</v>
      </c>
      <c r="H10" t="s">
        <v>14</v>
      </c>
      <c r="I10">
        <v>1</v>
      </c>
      <c r="J10" s="1">
        <v>-35</v>
      </c>
      <c r="K10" s="1">
        <f>Tabella2[[#This Row],[costo]]*Tabella2[[#This Row],[Frequenza]]</f>
        <v>-35</v>
      </c>
      <c r="M10" t="s">
        <v>78</v>
      </c>
      <c r="N10" s="1">
        <v>-300</v>
      </c>
      <c r="P10" t="s">
        <v>14</v>
      </c>
      <c r="Q10" s="1">
        <v>-35</v>
      </c>
      <c r="R10" s="1">
        <f>Tabella4[[#This Row],[Costo]]*Tabella1[[#Totals],[Colonna1]]</f>
        <v>-280</v>
      </c>
    </row>
    <row r="11" spans="1:18" x14ac:dyDescent="0.25">
      <c r="A11" t="s">
        <v>8</v>
      </c>
      <c r="B11">
        <f>SUBTOTAL(109,Tabella1[Colonna1])</f>
        <v>8</v>
      </c>
      <c r="D11" s="1">
        <f>SUBTOTAL(109,Tabella1[Totale])</f>
        <v>12000</v>
      </c>
      <c r="E11" s="1">
        <f>SUM(E7:E10)</f>
        <v>726</v>
      </c>
      <c r="F11" s="1">
        <f>SUM(F7:F10)</f>
        <v>2640</v>
      </c>
      <c r="H11" t="s">
        <v>34</v>
      </c>
      <c r="I11">
        <v>4</v>
      </c>
      <c r="J11" s="1">
        <v>-20</v>
      </c>
      <c r="K11" s="1">
        <f>Tabella2[[#This Row],[costo]]*Tabella2[[#This Row],[Frequenza]]</f>
        <v>-80</v>
      </c>
      <c r="M11" t="s">
        <v>79</v>
      </c>
      <c r="N11" s="1">
        <v>-120</v>
      </c>
      <c r="P11" t="s">
        <v>74</v>
      </c>
      <c r="Q11" s="1">
        <v>-22</v>
      </c>
      <c r="R11" s="1">
        <f>Tabella4[[#This Row],[Costo]]*Tabella1[[#Totals],[Colonna1]]</f>
        <v>-176</v>
      </c>
    </row>
    <row r="12" spans="1:18" x14ac:dyDescent="0.25">
      <c r="H12" t="s">
        <v>38</v>
      </c>
      <c r="I12">
        <v>1</v>
      </c>
      <c r="J12" s="1">
        <v>-214</v>
      </c>
      <c r="K12" s="1">
        <f>Tabella2[[#This Row],[costo]]*Tabella2[[#This Row],[Frequenza]]</f>
        <v>-214</v>
      </c>
      <c r="M12" t="s">
        <v>80</v>
      </c>
      <c r="N12" s="1">
        <v>-50</v>
      </c>
      <c r="P12" t="s">
        <v>22</v>
      </c>
      <c r="Q12" s="1">
        <v>-5</v>
      </c>
      <c r="R12" s="1">
        <f>Tabella4[[#This Row],[Costo]]*Tabella1[[#Totals],[Colonna1]]</f>
        <v>-40</v>
      </c>
    </row>
    <row r="13" spans="1:18" x14ac:dyDescent="0.25">
      <c r="J13" s="1"/>
      <c r="K13" s="1">
        <f>Tabella2[[#This Row],[costo]]*Tabella2[[#This Row],[Frequenza]]</f>
        <v>0</v>
      </c>
      <c r="M13" t="s">
        <v>81</v>
      </c>
      <c r="N13" s="1">
        <v>-50</v>
      </c>
      <c r="P13" t="s">
        <v>8</v>
      </c>
      <c r="R13" s="1">
        <f>SUBTOTAL(109,Tabella4[Totale])</f>
        <v>-1108</v>
      </c>
    </row>
    <row r="14" spans="1:18" x14ac:dyDescent="0.25">
      <c r="H14" t="s">
        <v>17</v>
      </c>
      <c r="I14">
        <v>1</v>
      </c>
      <c r="J14" s="1">
        <v>-250</v>
      </c>
      <c r="K14" s="1">
        <f>Tabella2[[#This Row],[costo]]*Tabella2[[#This Row],[Frequenza]]</f>
        <v>-250</v>
      </c>
      <c r="N14" s="1"/>
    </row>
    <row r="15" spans="1:18" x14ac:dyDescent="0.25">
      <c r="H15" t="s">
        <v>8</v>
      </c>
      <c r="K15" s="1">
        <f>SUBTOTAL(109,Tabella2[totale])</f>
        <v>-1725</v>
      </c>
      <c r="N15" s="1"/>
    </row>
    <row r="16" spans="1:18" ht="15.75" thickBot="1" x14ac:dyDescent="0.3">
      <c r="A16" t="s">
        <v>31</v>
      </c>
      <c r="M16" t="s">
        <v>12</v>
      </c>
      <c r="N16" s="1">
        <v>-160</v>
      </c>
    </row>
    <row r="17" spans="1:14" x14ac:dyDescent="0.25">
      <c r="A17" s="22" t="s">
        <v>33</v>
      </c>
      <c r="B17" s="23" t="s">
        <v>36</v>
      </c>
      <c r="C17" s="23"/>
      <c r="D17" s="24"/>
      <c r="N17" s="1"/>
    </row>
    <row r="18" spans="1:14" x14ac:dyDescent="0.25">
      <c r="A18" s="25">
        <f>SUM(K7:K14)</f>
        <v>-1725</v>
      </c>
      <c r="B18" s="20">
        <f>SUM(J1-A2)</f>
        <v>4</v>
      </c>
      <c r="C18" s="20"/>
      <c r="D18" s="31">
        <f>SUM(A18*B18)</f>
        <v>-6900</v>
      </c>
      <c r="M18" t="s">
        <v>8</v>
      </c>
      <c r="N18" s="1">
        <f>SUBTOTAL(109,Tabella3[costo])</f>
        <v>-1055.5</v>
      </c>
    </row>
    <row r="19" spans="1:14" x14ac:dyDescent="0.25">
      <c r="A19" s="25" t="s">
        <v>37</v>
      </c>
      <c r="B19" s="21">
        <v>-1500</v>
      </c>
      <c r="C19" s="20">
        <v>13</v>
      </c>
      <c r="D19" s="31">
        <f>SUM(B19*C19)</f>
        <v>-19500</v>
      </c>
    </row>
    <row r="20" spans="1:14" x14ac:dyDescent="0.25">
      <c r="A20" s="25" t="s">
        <v>40</v>
      </c>
      <c r="B20" s="20"/>
      <c r="C20" s="20"/>
      <c r="D20" s="31">
        <v>-2000</v>
      </c>
      <c r="I20" t="s">
        <v>44</v>
      </c>
    </row>
    <row r="21" spans="1:14" x14ac:dyDescent="0.25">
      <c r="A21" s="25" t="s">
        <v>41</v>
      </c>
      <c r="B21" s="20"/>
      <c r="C21" s="20"/>
      <c r="D21" s="31">
        <v>-1200</v>
      </c>
    </row>
    <row r="22" spans="1:14" x14ac:dyDescent="0.25">
      <c r="A22" s="25" t="s">
        <v>42</v>
      </c>
      <c r="B22" s="20"/>
      <c r="C22" s="20"/>
      <c r="D22" s="31">
        <v>-2000</v>
      </c>
    </row>
    <row r="23" spans="1:14" x14ac:dyDescent="0.25">
      <c r="A23" s="25" t="s">
        <v>43</v>
      </c>
      <c r="B23" s="20"/>
      <c r="C23" s="20"/>
      <c r="D23" s="31">
        <v>-3000</v>
      </c>
      <c r="J23">
        <v>144000</v>
      </c>
      <c r="K23">
        <v>100</v>
      </c>
    </row>
    <row r="24" spans="1:14" x14ac:dyDescent="0.25">
      <c r="A24" s="25" t="s">
        <v>39</v>
      </c>
      <c r="B24" s="20">
        <v>1</v>
      </c>
      <c r="C24" s="20">
        <v>1300</v>
      </c>
      <c r="D24" s="31">
        <v>-1300</v>
      </c>
      <c r="J24">
        <v>34865</v>
      </c>
      <c r="K24" t="s">
        <v>83</v>
      </c>
    </row>
    <row r="25" spans="1:14" x14ac:dyDescent="0.25">
      <c r="A25" s="25" t="s">
        <v>32</v>
      </c>
      <c r="B25" s="20">
        <v>-500</v>
      </c>
      <c r="C25" s="20">
        <v>12</v>
      </c>
      <c r="D25" s="31">
        <f>SUM(B25*C25)</f>
        <v>-6000</v>
      </c>
    </row>
    <row r="26" spans="1:14" x14ac:dyDescent="0.25">
      <c r="A26" s="28" t="s">
        <v>71</v>
      </c>
      <c r="B26" s="29"/>
      <c r="C26" s="29"/>
      <c r="D26" s="30">
        <f>SUM(D18:D25)</f>
        <v>-41900</v>
      </c>
      <c r="E26" s="6"/>
      <c r="F26" s="6"/>
    </row>
    <row r="27" spans="1:14" x14ac:dyDescent="0.25">
      <c r="A27" s="25" t="s">
        <v>72</v>
      </c>
      <c r="B27" s="20"/>
      <c r="C27" s="20"/>
      <c r="D27" s="37">
        <f>B2+C2</f>
        <v>97338</v>
      </c>
      <c r="E27" s="2"/>
      <c r="F27" s="2"/>
    </row>
    <row r="28" spans="1:14" x14ac:dyDescent="0.25">
      <c r="A28" s="32" t="s">
        <v>73</v>
      </c>
      <c r="B28" s="33"/>
      <c r="C28" s="33"/>
      <c r="D28" s="34">
        <f>-A2*(Tabella1[[#Totals],[IVA TOT]])</f>
        <v>-31680</v>
      </c>
    </row>
    <row r="29" spans="1:14" ht="15.75" thickBot="1" x14ac:dyDescent="0.3">
      <c r="A29" s="26" t="s">
        <v>54</v>
      </c>
      <c r="B29" s="27"/>
      <c r="C29" s="27"/>
      <c r="D29" s="35">
        <f>SUM(D26:D28)</f>
        <v>23758</v>
      </c>
      <c r="E29" s="6"/>
      <c r="F29" s="6"/>
    </row>
    <row r="31" spans="1:14" x14ac:dyDescent="0.25">
      <c r="D31" s="2"/>
      <c r="E31" s="2"/>
      <c r="F31" s="2"/>
    </row>
    <row r="32" spans="1:14" x14ac:dyDescent="0.25">
      <c r="D32" s="2"/>
      <c r="E32" s="2"/>
      <c r="F32" s="2"/>
    </row>
    <row r="33" spans="4:6" x14ac:dyDescent="0.25">
      <c r="D33" s="2"/>
      <c r="E33" s="2"/>
      <c r="F33" s="2"/>
    </row>
    <row r="34" spans="4:6" x14ac:dyDescent="0.25">
      <c r="D34" s="2"/>
      <c r="E34" s="2"/>
      <c r="F34" s="2"/>
    </row>
    <row r="35" spans="4:6" x14ac:dyDescent="0.25">
      <c r="D35" s="2"/>
      <c r="E35" s="2"/>
      <c r="F35" s="2"/>
    </row>
    <row r="36" spans="4:6" x14ac:dyDescent="0.25">
      <c r="D36" s="2"/>
      <c r="E36" s="2"/>
      <c r="F36" s="2"/>
    </row>
  </sheetData>
  <mergeCells count="4">
    <mergeCell ref="A5:D5"/>
    <mergeCell ref="H5:K5"/>
    <mergeCell ref="P5:R5"/>
    <mergeCell ref="M5:N5"/>
  </mergeCells>
  <phoneticPr fontId="2" type="noConversion"/>
  <pageMargins left="0.7" right="0.7" top="0.75" bottom="0.75" header="0.3" footer="0.3"/>
  <pageSetup paperSize="9" orientation="portrait" verticalDpi="599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1DD9-046F-4BE5-BF2D-1806C4ECAE7E}">
  <dimension ref="A1:R35"/>
  <sheetViews>
    <sheetView workbookViewId="0">
      <selection activeCell="M12" sqref="M12"/>
    </sheetView>
  </sheetViews>
  <sheetFormatPr defaultRowHeight="15" x14ac:dyDescent="0.25"/>
  <cols>
    <col min="1" max="1" width="15.28515625" bestFit="1" customWidth="1"/>
    <col min="2" max="2" width="12.7109375" bestFit="1" customWidth="1"/>
    <col min="3" max="3" width="13.7109375" bestFit="1" customWidth="1"/>
    <col min="4" max="4" width="12.28515625" bestFit="1" customWidth="1"/>
    <col min="5" max="6" width="12.28515625" customWidth="1"/>
    <col min="7" max="7" width="4.7109375" customWidth="1"/>
    <col min="8" max="8" width="8.42578125" bestFit="1" customWidth="1"/>
    <col min="9" max="9" width="11.85546875" bestFit="1" customWidth="1"/>
    <col min="10" max="10" width="10.85546875" customWidth="1"/>
    <col min="11" max="11" width="11.140625" customWidth="1"/>
    <col min="12" max="12" width="4.28515625" customWidth="1"/>
    <col min="13" max="13" width="9.7109375" bestFit="1" customWidth="1"/>
    <col min="14" max="14" width="10.28515625" bestFit="1" customWidth="1"/>
    <col min="15" max="15" width="4.85546875" customWidth="1"/>
    <col min="16" max="16" width="13.28515625" customWidth="1"/>
    <col min="17" max="17" width="8.7109375" bestFit="1" customWidth="1"/>
    <col min="18" max="18" width="10.85546875" customWidth="1"/>
  </cols>
  <sheetData>
    <row r="1" spans="1:18" x14ac:dyDescent="0.25">
      <c r="A1" t="s">
        <v>0</v>
      </c>
      <c r="B1" t="s">
        <v>24</v>
      </c>
      <c r="C1" t="s">
        <v>25</v>
      </c>
      <c r="D1" t="s">
        <v>26</v>
      </c>
      <c r="E1" t="s">
        <v>35</v>
      </c>
      <c r="I1" t="s">
        <v>69</v>
      </c>
      <c r="J1">
        <v>3</v>
      </c>
    </row>
    <row r="2" spans="1:18" x14ac:dyDescent="0.25">
      <c r="A2">
        <v>6</v>
      </c>
      <c r="B2" s="1">
        <f>Tabella136[[#Totals],[Totale]]*Tabella540[[#This Row],[Cucciolate]]</f>
        <v>36000</v>
      </c>
      <c r="C2" s="1">
        <f>(Tabella237[[#Totals],[totale]]+Tabella338[[#Totals],[costo]]+Tabella439[[#Totals],[Totale]])*Tabella540[[#This Row],[Cucciolate]]</f>
        <v>-22974</v>
      </c>
      <c r="D2" s="1">
        <f>B2+C2</f>
        <v>13026</v>
      </c>
      <c r="E2" s="1"/>
      <c r="F2" s="1"/>
      <c r="J2" s="10"/>
    </row>
    <row r="3" spans="1:18" x14ac:dyDescent="0.25">
      <c r="B3" s="1"/>
      <c r="C3" s="1"/>
      <c r="D3" s="1"/>
      <c r="E3" s="1"/>
      <c r="F3" s="1"/>
    </row>
    <row r="5" spans="1:18" x14ac:dyDescent="0.25">
      <c r="A5" s="39" t="s">
        <v>5</v>
      </c>
      <c r="B5" s="40"/>
      <c r="C5" s="40"/>
      <c r="D5" s="40"/>
      <c r="E5" s="11"/>
      <c r="F5" s="11"/>
      <c r="H5" s="41" t="s">
        <v>9</v>
      </c>
      <c r="I5" s="42"/>
      <c r="J5" s="42"/>
      <c r="K5" s="42"/>
      <c r="M5" s="43" t="s">
        <v>18</v>
      </c>
      <c r="N5" s="44"/>
      <c r="P5" s="41" t="s">
        <v>20</v>
      </c>
      <c r="Q5" s="42"/>
      <c r="R5" s="42"/>
    </row>
    <row r="6" spans="1:18" x14ac:dyDescent="0.25">
      <c r="A6" t="s">
        <v>6</v>
      </c>
      <c r="B6" t="s">
        <v>35</v>
      </c>
      <c r="C6" t="s">
        <v>7</v>
      </c>
      <c r="D6" t="s">
        <v>8</v>
      </c>
      <c r="E6" t="s">
        <v>75</v>
      </c>
      <c r="F6" t="s">
        <v>76</v>
      </c>
      <c r="H6" t="s">
        <v>6</v>
      </c>
      <c r="I6" t="s">
        <v>10</v>
      </c>
      <c r="J6" t="s">
        <v>11</v>
      </c>
      <c r="K6" t="s">
        <v>13</v>
      </c>
      <c r="M6" t="s">
        <v>6</v>
      </c>
      <c r="N6" t="s">
        <v>11</v>
      </c>
      <c r="P6" t="s">
        <v>6</v>
      </c>
      <c r="Q6" t="s">
        <v>23</v>
      </c>
      <c r="R6" t="s">
        <v>8</v>
      </c>
    </row>
    <row r="7" spans="1:18" x14ac:dyDescent="0.25">
      <c r="A7" t="s">
        <v>1</v>
      </c>
      <c r="B7">
        <v>5</v>
      </c>
      <c r="C7" s="1">
        <v>1200</v>
      </c>
      <c r="D7" s="1">
        <f>Tabella136[[#This Row],[prezzo]]*Tabella136[[#This Row],[Colonna1]]</f>
        <v>6000</v>
      </c>
      <c r="E7" s="1">
        <f>C7*(1*J2)</f>
        <v>0</v>
      </c>
      <c r="F7" s="1">
        <f>D7*(1*J2)</f>
        <v>0</v>
      </c>
      <c r="H7" t="s">
        <v>12</v>
      </c>
      <c r="I7">
        <v>12</v>
      </c>
      <c r="J7" s="1">
        <v>-38</v>
      </c>
      <c r="K7" s="1">
        <f>Tabella237[[#This Row],[costo]]*Tabella237[[#This Row],[Frequenza]]</f>
        <v>-456</v>
      </c>
      <c r="M7" t="s">
        <v>27</v>
      </c>
      <c r="N7" s="1">
        <v>-1000</v>
      </c>
      <c r="P7" t="s">
        <v>21</v>
      </c>
      <c r="Q7" s="1">
        <v>-21.5</v>
      </c>
      <c r="R7" s="1">
        <f>Tabella439[[#This Row],[Costo]]*Tabella136[[#Totals],[Colonna1]]</f>
        <v>-107.5</v>
      </c>
    </row>
    <row r="8" spans="1:18" x14ac:dyDescent="0.25">
      <c r="A8" t="s">
        <v>2</v>
      </c>
      <c r="C8" s="1">
        <v>1000</v>
      </c>
      <c r="D8" s="1">
        <f>Tabella136[[#This Row],[prezzo]]*Tabella136[[#This Row],[Colonna1]]</f>
        <v>0</v>
      </c>
      <c r="E8" s="1">
        <f>C8*(1*J2)</f>
        <v>0</v>
      </c>
      <c r="F8" s="1">
        <f>D8*(1*J2)</f>
        <v>0</v>
      </c>
      <c r="H8" t="s">
        <v>16</v>
      </c>
      <c r="I8">
        <v>6</v>
      </c>
      <c r="J8" s="1">
        <v>-15</v>
      </c>
      <c r="K8" s="1">
        <f>Tabella237[[#This Row],[costo]]*Tabella237[[#This Row],[Frequenza]]</f>
        <v>-90</v>
      </c>
      <c r="M8" t="s">
        <v>19</v>
      </c>
      <c r="N8" s="1">
        <v>-25.5</v>
      </c>
      <c r="P8" t="s">
        <v>28</v>
      </c>
      <c r="Q8" s="1"/>
      <c r="R8" s="1">
        <f>Tabella439[[#This Row],[Costo]]*Tabella136[[#Totals],[Colonna1]]</f>
        <v>0</v>
      </c>
    </row>
    <row r="9" spans="1:18" x14ac:dyDescent="0.25">
      <c r="A9" t="s">
        <v>3</v>
      </c>
      <c r="C9" s="1">
        <v>800</v>
      </c>
      <c r="D9" s="1">
        <f>Tabella136[[#This Row],[prezzo]]*Tabella136[[#This Row],[Colonna1]]</f>
        <v>0</v>
      </c>
      <c r="E9" s="1">
        <f>C9*(1*J2)</f>
        <v>0</v>
      </c>
      <c r="F9" s="1">
        <f>D9*(1*J2)</f>
        <v>0</v>
      </c>
      <c r="H9" t="s">
        <v>30</v>
      </c>
      <c r="I9">
        <v>12</v>
      </c>
      <c r="J9" s="1">
        <v>-50</v>
      </c>
      <c r="K9" s="1">
        <f>Tabella237[[#This Row],[costo]]*Tabella237[[#This Row],[Frequenza]]</f>
        <v>-600</v>
      </c>
      <c r="M9" t="s">
        <v>15</v>
      </c>
      <c r="N9" s="1">
        <v>-500</v>
      </c>
      <c r="P9" t="s">
        <v>29</v>
      </c>
      <c r="Q9" s="1"/>
      <c r="R9" s="1">
        <f>Tabella439[[#This Row],[Costo]]*Tabella136[[#Totals],[Colonna1]]</f>
        <v>0</v>
      </c>
    </row>
    <row r="10" spans="1:18" x14ac:dyDescent="0.25">
      <c r="A10" t="s">
        <v>4</v>
      </c>
      <c r="C10" s="1">
        <v>0</v>
      </c>
      <c r="D10" s="1">
        <f>Tabella136[[#This Row],[prezzo]]*Tabella136[[#This Row],[Colonna1]]</f>
        <v>0</v>
      </c>
      <c r="E10" s="1">
        <f>C10*(1*J2)</f>
        <v>0</v>
      </c>
      <c r="F10" s="1">
        <f>D10*(1*J2)</f>
        <v>0</v>
      </c>
      <c r="H10" t="s">
        <v>14</v>
      </c>
      <c r="I10">
        <v>1</v>
      </c>
      <c r="J10" s="1">
        <v>-35</v>
      </c>
      <c r="K10" s="1">
        <f>Tabella237[[#This Row],[costo]]*Tabella237[[#This Row],[Frequenza]]</f>
        <v>-35</v>
      </c>
      <c r="M10" t="s">
        <v>78</v>
      </c>
      <c r="N10" s="1"/>
      <c r="P10" t="s">
        <v>14</v>
      </c>
      <c r="Q10" s="1">
        <v>-35</v>
      </c>
      <c r="R10" s="1">
        <f>Tabella439[[#This Row],[Costo]]*Tabella136[[#Totals],[Colonna1]]</f>
        <v>-175</v>
      </c>
    </row>
    <row r="11" spans="1:18" x14ac:dyDescent="0.25">
      <c r="A11" t="s">
        <v>8</v>
      </c>
      <c r="B11">
        <f>SUBTOTAL(109,Tabella136[Colonna1])</f>
        <v>5</v>
      </c>
      <c r="D11" s="1">
        <f>SUBTOTAL(109,Tabella136[Totale])</f>
        <v>6000</v>
      </c>
      <c r="E11" s="1">
        <f>SUM(E7:E10)</f>
        <v>0</v>
      </c>
      <c r="F11" s="1">
        <f>SUM(F7:F10)</f>
        <v>0</v>
      </c>
      <c r="H11" t="s">
        <v>34</v>
      </c>
      <c r="I11">
        <v>4</v>
      </c>
      <c r="J11" s="1">
        <v>-35</v>
      </c>
      <c r="K11" s="1">
        <f>Tabella237[[#This Row],[costo]]*Tabella237[[#This Row],[Frequenza]]</f>
        <v>-140</v>
      </c>
      <c r="M11" t="s">
        <v>12</v>
      </c>
      <c r="N11" s="1">
        <v>-200</v>
      </c>
      <c r="P11" t="s">
        <v>74</v>
      </c>
      <c r="Q11" s="1">
        <v>-25</v>
      </c>
      <c r="R11" s="1">
        <f>Tabella439[[#This Row],[Costo]]*Tabella136[[#Totals],[Colonna1]]</f>
        <v>-125</v>
      </c>
    </row>
    <row r="12" spans="1:18" x14ac:dyDescent="0.25">
      <c r="H12" t="s">
        <v>38</v>
      </c>
      <c r="I12">
        <v>1</v>
      </c>
      <c r="J12" s="1"/>
      <c r="K12" s="1">
        <f>Tabella237[[#This Row],[costo]]*Tabella237[[#This Row],[Frequenza]]</f>
        <v>0</v>
      </c>
      <c r="M12" t="s">
        <v>8</v>
      </c>
      <c r="N12" s="1">
        <f>SUBTOTAL(109,Tabella338[costo])</f>
        <v>-1725.5</v>
      </c>
      <c r="P12" t="s">
        <v>22</v>
      </c>
      <c r="Q12" s="1">
        <v>-25</v>
      </c>
      <c r="R12" s="1">
        <f>Tabella439[[#This Row],[Costo]]*Tabella136[[#Totals],[Colonna1]]</f>
        <v>-125</v>
      </c>
    </row>
    <row r="13" spans="1:18" x14ac:dyDescent="0.25">
      <c r="J13" s="1"/>
      <c r="K13" s="1"/>
      <c r="P13" t="s">
        <v>8</v>
      </c>
      <c r="R13" s="1">
        <f>SUBTOTAL(109,Tabella439[Totale])</f>
        <v>-532.5</v>
      </c>
    </row>
    <row r="14" spans="1:18" x14ac:dyDescent="0.25">
      <c r="H14" t="s">
        <v>17</v>
      </c>
      <c r="I14">
        <v>1</v>
      </c>
      <c r="J14" s="1">
        <v>-250</v>
      </c>
      <c r="K14" s="1">
        <f>Tabella237[[#This Row],[costo]]*Tabella237[[#This Row],[Frequenza]]</f>
        <v>-250</v>
      </c>
    </row>
    <row r="15" spans="1:18" x14ac:dyDescent="0.25">
      <c r="H15" t="s">
        <v>8</v>
      </c>
      <c r="K15" s="1">
        <f>SUBTOTAL(109,Tabella237[totale])</f>
        <v>-1571</v>
      </c>
    </row>
    <row r="16" spans="1:18" x14ac:dyDescent="0.25">
      <c r="A16" t="s">
        <v>31</v>
      </c>
    </row>
    <row r="17" spans="1:6" ht="15.75" thickBot="1" x14ac:dyDescent="0.3">
      <c r="A17" t="s">
        <v>33</v>
      </c>
      <c r="B17" t="s">
        <v>36</v>
      </c>
    </row>
    <row r="18" spans="1:6" ht="15.75" thickBot="1" x14ac:dyDescent="0.3">
      <c r="A18" s="4">
        <f>SUM(K7:K14)</f>
        <v>-1571</v>
      </c>
      <c r="B18" s="5"/>
      <c r="C18" s="5"/>
      <c r="D18" s="3">
        <f>SUM(A18*B18)</f>
        <v>0</v>
      </c>
    </row>
    <row r="19" spans="1:6" ht="15.75" thickBot="1" x14ac:dyDescent="0.3">
      <c r="A19" s="2" t="s">
        <v>37</v>
      </c>
      <c r="D19" s="3"/>
    </row>
    <row r="20" spans="1:6" ht="15.75" thickBot="1" x14ac:dyDescent="0.3">
      <c r="A20" s="4"/>
      <c r="B20" s="5">
        <v>13</v>
      </c>
      <c r="C20" s="5"/>
      <c r="D20" s="3">
        <f>SUM(A20*B20)</f>
        <v>0</v>
      </c>
    </row>
    <row r="21" spans="1:6" ht="15.75" thickBot="1" x14ac:dyDescent="0.3">
      <c r="A21" s="2" t="s">
        <v>42</v>
      </c>
    </row>
    <row r="22" spans="1:6" ht="15.75" thickBot="1" x14ac:dyDescent="0.3">
      <c r="A22" s="4"/>
      <c r="B22" s="5"/>
      <c r="C22" s="5"/>
      <c r="D22" s="7">
        <v>-1000</v>
      </c>
    </row>
    <row r="23" spans="1:6" ht="15.75" thickBot="1" x14ac:dyDescent="0.3">
      <c r="A23" s="2" t="s">
        <v>39</v>
      </c>
    </row>
    <row r="24" spans="1:6" ht="15.75" thickBot="1" x14ac:dyDescent="0.3">
      <c r="A24" s="4"/>
      <c r="B24" s="5">
        <v>1</v>
      </c>
      <c r="C24" s="5"/>
      <c r="D24" s="7">
        <v>-350</v>
      </c>
    </row>
    <row r="25" spans="1:6" ht="15.75" thickBot="1" x14ac:dyDescent="0.3">
      <c r="A25" s="4" t="s">
        <v>71</v>
      </c>
      <c r="B25" s="5"/>
      <c r="C25" s="5"/>
      <c r="D25" s="19">
        <f>SUM(D18:D24)</f>
        <v>-1350</v>
      </c>
      <c r="E25" s="6"/>
      <c r="F25" s="6"/>
    </row>
    <row r="26" spans="1:6" ht="15.75" thickBot="1" x14ac:dyDescent="0.3">
      <c r="A26" s="13" t="s">
        <v>72</v>
      </c>
      <c r="B26" s="14"/>
      <c r="C26" s="14"/>
      <c r="D26" s="18">
        <f>B2+C2</f>
        <v>13026</v>
      </c>
      <c r="E26" s="12"/>
      <c r="F26" s="12"/>
    </row>
    <row r="27" spans="1:6" ht="16.5" thickTop="1" thickBot="1" x14ac:dyDescent="0.3">
      <c r="A27" s="2" t="s">
        <v>73</v>
      </c>
      <c r="D27" s="1"/>
    </row>
    <row r="28" spans="1:6" ht="15.75" thickBot="1" x14ac:dyDescent="0.3">
      <c r="A28" s="15" t="s">
        <v>54</v>
      </c>
      <c r="B28" s="16"/>
      <c r="C28" s="16"/>
      <c r="D28" s="17">
        <f>SUM(D25:D27)</f>
        <v>11676</v>
      </c>
      <c r="E28" s="6"/>
      <c r="F28" s="6"/>
    </row>
    <row r="30" spans="1:6" x14ac:dyDescent="0.25">
      <c r="D30" s="2"/>
      <c r="E30" s="2"/>
      <c r="F30" s="2"/>
    </row>
    <row r="31" spans="1:6" x14ac:dyDescent="0.25">
      <c r="D31" s="2"/>
      <c r="E31" s="2"/>
      <c r="F31" s="2"/>
    </row>
    <row r="32" spans="1:6" x14ac:dyDescent="0.25">
      <c r="D32" s="2"/>
      <c r="E32" s="2"/>
      <c r="F32" s="2"/>
    </row>
    <row r="33" spans="4:6" x14ac:dyDescent="0.25">
      <c r="D33" s="2"/>
      <c r="E33" s="2"/>
      <c r="F33" s="2"/>
    </row>
    <row r="34" spans="4:6" x14ac:dyDescent="0.25">
      <c r="D34" s="2"/>
      <c r="E34" s="2"/>
      <c r="F34" s="2"/>
    </row>
    <row r="35" spans="4:6" x14ac:dyDescent="0.25">
      <c r="D35" s="2"/>
      <c r="E35" s="2"/>
      <c r="F35" s="2"/>
    </row>
  </sheetData>
  <mergeCells count="4">
    <mergeCell ref="A5:D5"/>
    <mergeCell ref="H5:K5"/>
    <mergeCell ref="M5:N5"/>
    <mergeCell ref="P5:R5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EE4B5-2F4D-4A6F-B0C0-730657F248F2}">
  <dimension ref="A2:M19"/>
  <sheetViews>
    <sheetView workbookViewId="0">
      <selection activeCell="C14" sqref="C14"/>
    </sheetView>
  </sheetViews>
  <sheetFormatPr defaultRowHeight="15" x14ac:dyDescent="0.25"/>
  <cols>
    <col min="1" max="1" width="10" bestFit="1" customWidth="1"/>
    <col min="3" max="3" width="9.28515625" style="8" bestFit="1" customWidth="1"/>
    <col min="8" max="8" width="9.28515625" customWidth="1"/>
    <col min="9" max="9" width="9.42578125" customWidth="1"/>
    <col min="10" max="10" width="11.5703125" bestFit="1" customWidth="1"/>
    <col min="11" max="11" width="10.42578125" bestFit="1" customWidth="1"/>
    <col min="12" max="13" width="9.42578125" bestFit="1" customWidth="1"/>
  </cols>
  <sheetData>
    <row r="2" spans="1:13" x14ac:dyDescent="0.25">
      <c r="A2" t="s">
        <v>6</v>
      </c>
      <c r="B2" t="s">
        <v>45</v>
      </c>
      <c r="C2" s="8" t="s">
        <v>55</v>
      </c>
      <c r="D2" t="s">
        <v>56</v>
      </c>
      <c r="E2" t="s">
        <v>57</v>
      </c>
      <c r="H2" t="s">
        <v>6</v>
      </c>
      <c r="I2" t="s">
        <v>52</v>
      </c>
      <c r="J2" t="s">
        <v>53</v>
      </c>
      <c r="K2" t="s">
        <v>54</v>
      </c>
    </row>
    <row r="3" spans="1:13" x14ac:dyDescent="0.25">
      <c r="A3" t="s">
        <v>46</v>
      </c>
      <c r="B3" s="9">
        <v>10500</v>
      </c>
      <c r="C3" s="8">
        <f>Tabella7[[#Totals],[tot]]/Tabella6[[#This Row],[U/ha]]</f>
        <v>1.04</v>
      </c>
      <c r="D3" s="1">
        <v>500</v>
      </c>
      <c r="E3" s="1">
        <f>Tabella6[[#This Row],[Rq/ha]]*Tabella6[[#This Row],[R/A]]</f>
        <v>520</v>
      </c>
      <c r="H3" t="s">
        <v>60</v>
      </c>
      <c r="I3">
        <v>19</v>
      </c>
      <c r="J3">
        <v>120</v>
      </c>
      <c r="K3">
        <f>Tabella7[[#This Row],[Animali]]*Tabella7[[#This Row],[U/A]]</f>
        <v>2280</v>
      </c>
    </row>
    <row r="4" spans="1:13" x14ac:dyDescent="0.25">
      <c r="A4" t="s">
        <v>47</v>
      </c>
      <c r="B4" s="9">
        <v>5100</v>
      </c>
      <c r="C4" s="8">
        <f>Tabella7[[#Totals],[tot]]/Tabella6[[#This Row],[U/ha]]</f>
        <v>2.1411764705882352</v>
      </c>
      <c r="D4" s="1">
        <v>100</v>
      </c>
      <c r="E4" s="1">
        <f>Tabella6[[#This Row],[Rq/ha]]*Tabella6[[#This Row],[R/A]]</f>
        <v>214.11764705882354</v>
      </c>
      <c r="H4" t="s">
        <v>61</v>
      </c>
      <c r="I4">
        <v>72</v>
      </c>
      <c r="J4">
        <v>120</v>
      </c>
      <c r="K4">
        <f>Tabella7[[#This Row],[Animali]]*Tabella7[[#This Row],[U/A]]</f>
        <v>8640</v>
      </c>
    </row>
    <row r="5" spans="1:13" x14ac:dyDescent="0.25">
      <c r="A5" t="s">
        <v>48</v>
      </c>
      <c r="B5" s="9">
        <v>1050</v>
      </c>
      <c r="C5" s="8">
        <f>Tabella7[[#Totals],[tot]]/Tabella6[[#This Row],[U/ha]]</f>
        <v>10.4</v>
      </c>
      <c r="D5" s="1">
        <v>10</v>
      </c>
      <c r="E5" s="1">
        <f>Tabella6[[#This Row],[Rq/ha]]*Tabella6[[#This Row],[R/A]]</f>
        <v>104</v>
      </c>
      <c r="K5">
        <f>SUBTOTAL(109,Tabella7[tot])</f>
        <v>10920</v>
      </c>
    </row>
    <row r="6" spans="1:13" x14ac:dyDescent="0.25">
      <c r="A6" t="s">
        <v>49</v>
      </c>
      <c r="B6" s="9">
        <v>4500</v>
      </c>
      <c r="C6" s="8">
        <f>Tabella7[[#Totals],[tot]]/Tabella6[[#This Row],[U/ha]]</f>
        <v>2.4266666666666667</v>
      </c>
      <c r="D6" s="1">
        <v>85</v>
      </c>
      <c r="E6" s="1">
        <f>Tabella6[[#This Row],[Rq/ha]]*Tabella6[[#This Row],[R/A]]</f>
        <v>206.26666666666668</v>
      </c>
    </row>
    <row r="7" spans="1:13" x14ac:dyDescent="0.25">
      <c r="A7" t="s">
        <v>50</v>
      </c>
      <c r="B7" s="9">
        <v>1000</v>
      </c>
      <c r="C7" s="8">
        <f>Tabella7[[#Totals],[tot]]/Tabella6[[#This Row],[U/ha]]</f>
        <v>10.92</v>
      </c>
      <c r="D7" s="1">
        <v>9.8000000000000007</v>
      </c>
      <c r="E7" s="1">
        <f>Tabella6[[#This Row],[Rq/ha]]*Tabella6[[#This Row],[R/A]]</f>
        <v>107.01600000000001</v>
      </c>
    </row>
    <row r="8" spans="1:13" x14ac:dyDescent="0.25">
      <c r="A8" t="s">
        <v>51</v>
      </c>
      <c r="B8" s="9">
        <v>2700</v>
      </c>
      <c r="C8" s="8">
        <f>Tabella7[[#Totals],[tot]]/Tabella6[[#This Row],[U/ha]]</f>
        <v>4.0444444444444443</v>
      </c>
      <c r="D8" s="1">
        <v>52</v>
      </c>
      <c r="E8" s="1">
        <f>Tabella6[[#This Row],[Rq/ha]]*Tabella6[[#This Row],[R/A]]</f>
        <v>210.3111111111111</v>
      </c>
    </row>
    <row r="9" spans="1:13" x14ac:dyDescent="0.25">
      <c r="B9" s="9"/>
      <c r="H9" t="s">
        <v>62</v>
      </c>
      <c r="I9" t="s">
        <v>63</v>
      </c>
      <c r="J9" t="s">
        <v>64</v>
      </c>
      <c r="K9" t="s">
        <v>65</v>
      </c>
      <c r="L9" t="s">
        <v>66</v>
      </c>
      <c r="M9" t="s">
        <v>67</v>
      </c>
    </row>
    <row r="10" spans="1:13" x14ac:dyDescent="0.25">
      <c r="B10" s="9"/>
      <c r="H10" s="9">
        <f>IF(Tabella7[[#Totals],[tot]]-Tabella69[[#Totals],[Quote/tot]]&gt;0,Tabella7[[#Totals],[tot]]-Tabella69[[#Totals],[Quote/tot]],0)</f>
        <v>0</v>
      </c>
      <c r="I10" s="9">
        <f>ROUNDUP(Tabella10[[#This Row],[Quote]]/J3,0)</f>
        <v>0</v>
      </c>
      <c r="J10" s="1">
        <f>p.iva!C7*Tabella10[[#This Row],[UM]]</f>
        <v>0</v>
      </c>
      <c r="K10" s="10">
        <f>25%</f>
        <v>0.25</v>
      </c>
      <c r="L10" s="10">
        <v>0.25</v>
      </c>
      <c r="M10" s="1">
        <f>(Tabella10[[#This Row],[Tot/vend]]*Tabella10[[#This Row],[R/Imp]])*Tabella10[[#This Row],[Tax]]</f>
        <v>0</v>
      </c>
    </row>
    <row r="11" spans="1:13" x14ac:dyDescent="0.25">
      <c r="B11" s="9"/>
    </row>
    <row r="12" spans="1:13" x14ac:dyDescent="0.25">
      <c r="A12" t="s">
        <v>6</v>
      </c>
      <c r="B12" s="9" t="s">
        <v>45</v>
      </c>
      <c r="C12" s="8" t="s">
        <v>59</v>
      </c>
      <c r="D12" t="s">
        <v>58</v>
      </c>
      <c r="E12" t="s">
        <v>56</v>
      </c>
      <c r="F12" t="s">
        <v>68</v>
      </c>
    </row>
    <row r="13" spans="1:13" x14ac:dyDescent="0.25">
      <c r="A13" t="s">
        <v>46</v>
      </c>
      <c r="B13" s="9">
        <v>10500</v>
      </c>
      <c r="D13" s="9">
        <f>Tabella69[[#This Row],[HA]]*B3</f>
        <v>0</v>
      </c>
      <c r="E13" s="1">
        <f>Tabella69[[#This Row],[HA]]*D3</f>
        <v>0</v>
      </c>
      <c r="F13">
        <f>ROUNDDOWN(Tabella69[[#This Row],[Quote/tot]]/$J$3,0)</f>
        <v>0</v>
      </c>
    </row>
    <row r="14" spans="1:13" x14ac:dyDescent="0.25">
      <c r="A14" t="s">
        <v>47</v>
      </c>
      <c r="B14" s="9">
        <v>5100</v>
      </c>
      <c r="C14" s="8">
        <v>3</v>
      </c>
      <c r="D14" s="9">
        <f>Tabella69[[#This Row],[HA]]*B4</f>
        <v>15300</v>
      </c>
      <c r="E14" s="1">
        <f>Tabella69[[#This Row],[HA]]*D4</f>
        <v>300</v>
      </c>
      <c r="F14">
        <f>ROUNDDOWN(Tabella69[[#This Row],[Quote/tot]]/$J$3,0)</f>
        <v>127</v>
      </c>
    </row>
    <row r="15" spans="1:13" x14ac:dyDescent="0.25">
      <c r="A15" t="s">
        <v>48</v>
      </c>
      <c r="B15" s="9">
        <v>1050</v>
      </c>
      <c r="D15" s="9">
        <f>Tabella69[[#This Row],[HA]]*B5</f>
        <v>0</v>
      </c>
      <c r="E15" s="1">
        <f>Tabella69[[#This Row],[HA]]*D5</f>
        <v>0</v>
      </c>
      <c r="F15">
        <f>ROUNDDOWN(Tabella69[[#This Row],[Quote/tot]]/$J$3,0)</f>
        <v>0</v>
      </c>
    </row>
    <row r="16" spans="1:13" x14ac:dyDescent="0.25">
      <c r="A16" t="s">
        <v>49</v>
      </c>
      <c r="B16" s="9">
        <v>4500</v>
      </c>
      <c r="D16" s="9">
        <f>Tabella69[[#This Row],[HA]]*B6</f>
        <v>0</v>
      </c>
      <c r="E16" s="1">
        <f>Tabella69[[#This Row],[HA]]*D6</f>
        <v>0</v>
      </c>
      <c r="F16">
        <f>ROUNDDOWN(Tabella69[[#This Row],[Quote/tot]]/$J$3,0)</f>
        <v>0</v>
      </c>
    </row>
    <row r="17" spans="1:6" x14ac:dyDescent="0.25">
      <c r="A17" t="s">
        <v>50</v>
      </c>
      <c r="B17" s="9">
        <v>1000</v>
      </c>
      <c r="D17" s="9">
        <f>Tabella69[[#This Row],[HA]]*B7</f>
        <v>0</v>
      </c>
      <c r="E17" s="1">
        <f>Tabella69[[#This Row],[HA]]*D7</f>
        <v>0</v>
      </c>
      <c r="F17">
        <f>ROUNDDOWN(Tabella69[[#This Row],[Quote/tot]]/$J$3,0)</f>
        <v>0</v>
      </c>
    </row>
    <row r="18" spans="1:6" x14ac:dyDescent="0.25">
      <c r="A18" t="s">
        <v>51</v>
      </c>
      <c r="B18" s="9">
        <v>2700</v>
      </c>
      <c r="D18" s="9">
        <f>Tabella69[[#This Row],[HA]]*B8</f>
        <v>0</v>
      </c>
      <c r="E18" s="1">
        <f>Tabella69[[#This Row],[HA]]*D8</f>
        <v>0</v>
      </c>
      <c r="F18">
        <f>ROUNDDOWN(Tabella69[[#This Row],[Quote/tot]]/$J$3,0)</f>
        <v>0</v>
      </c>
    </row>
    <row r="19" spans="1:6" x14ac:dyDescent="0.25">
      <c r="D19" s="9">
        <f>SUBTOTAL(109,Tabella69[Quote/tot])</f>
        <v>15300</v>
      </c>
      <c r="E19" s="1">
        <f>SUBTOTAL(109,Tabella69[R/A])</f>
        <v>300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p.iva</vt:lpstr>
      <vt:lpstr>amatoriale</vt:lpstr>
      <vt:lpstr>Foraggio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Bastianello - ITVIC</dc:creator>
  <cp:lastModifiedBy>Utente Windows</cp:lastModifiedBy>
  <dcterms:created xsi:type="dcterms:W3CDTF">2015-06-05T18:19:34Z</dcterms:created>
  <dcterms:modified xsi:type="dcterms:W3CDTF">2023-01-11T23:10:04Z</dcterms:modified>
</cp:coreProperties>
</file>